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GöranErselius\Dropbox (2050 Consulting)\Kunder\Fortum\3. Post-sales\EHS-redovisning 2017\"/>
    </mc:Choice>
  </mc:AlternateContent>
  <xr:revisionPtr revIDLastSave="0" documentId="13_ncr:1_{230E57B4-764C-4B3F-AFEF-EE96E319F3EA}" xr6:coauthVersionLast="32" xr6:coauthVersionMax="32" xr10:uidLastSave="{00000000-0000-0000-0000-000000000000}"/>
  <bookViews>
    <workbookView xWindow="0" yWindow="0" windowWidth="7470" windowHeight="9675" xr2:uid="{00000000-000D-0000-FFFF-FFFF00000000}"/>
  </bookViews>
  <sheets>
    <sheet name="NOx Breem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15" i="1"/>
  <c r="E53" i="1" l="1"/>
  <c r="D53" i="1"/>
  <c r="E52" i="1"/>
  <c r="D52" i="1"/>
  <c r="E51" i="1"/>
  <c r="D51" i="1"/>
  <c r="D43" i="1"/>
  <c r="D28" i="1"/>
  <c r="D27" i="1"/>
  <c r="D22" i="1"/>
  <c r="D21" i="1"/>
  <c r="E40" i="1"/>
  <c r="E33" i="1"/>
  <c r="E32" i="1"/>
  <c r="E31" i="1"/>
  <c r="E30" i="1"/>
  <c r="E29" i="1"/>
  <c r="E22" i="1"/>
  <c r="E21" i="1"/>
  <c r="C37" i="1"/>
  <c r="D36" i="1"/>
  <c r="D35" i="1"/>
  <c r="D34" i="1"/>
  <c r="I34" i="1"/>
  <c r="I35" i="1" s="1"/>
  <c r="D33" i="1"/>
  <c r="D32" i="1"/>
  <c r="I33" i="1"/>
  <c r="I32" i="1"/>
  <c r="D31" i="1"/>
  <c r="D30" i="1"/>
  <c r="D29" i="1"/>
  <c r="I31" i="1"/>
  <c r="I30" i="1"/>
  <c r="I29" i="1"/>
  <c r="I27" i="1"/>
  <c r="I28" i="1" s="1"/>
  <c r="I22" i="1"/>
  <c r="I21" i="1"/>
  <c r="C44" i="1" l="1"/>
  <c r="C23" i="1" l="1"/>
  <c r="L31" i="1"/>
  <c r="K31" i="1"/>
  <c r="M31" i="1" s="1"/>
  <c r="J31" i="1"/>
  <c r="G31" i="1"/>
  <c r="K30" i="1"/>
  <c r="M30" i="1" s="1"/>
  <c r="J30" i="1"/>
  <c r="G30" i="1"/>
  <c r="C25" i="1"/>
  <c r="N30" i="1" l="1"/>
  <c r="L30" i="1"/>
  <c r="N31" i="1"/>
  <c r="D47" i="1" l="1"/>
  <c r="K21" i="1"/>
  <c r="B14" i="1"/>
  <c r="B12" i="1"/>
  <c r="E47" i="1"/>
  <c r="K46" i="1" l="1"/>
  <c r="M46" i="1" s="1"/>
  <c r="J46" i="1"/>
  <c r="K45" i="1"/>
  <c r="M45" i="1" s="1"/>
  <c r="J45" i="1"/>
  <c r="K44" i="1"/>
  <c r="M44" i="1" s="1"/>
  <c r="J44" i="1"/>
  <c r="K43" i="1"/>
  <c r="M43" i="1" s="1"/>
  <c r="J43" i="1"/>
  <c r="K42" i="1"/>
  <c r="M42" i="1" s="1"/>
  <c r="J42" i="1"/>
  <c r="K41" i="1"/>
  <c r="M41" i="1" s="1"/>
  <c r="J41" i="1"/>
  <c r="K40" i="1"/>
  <c r="M40" i="1" s="1"/>
  <c r="J40" i="1"/>
  <c r="K39" i="1"/>
  <c r="M39" i="1" s="1"/>
  <c r="J39" i="1"/>
  <c r="K38" i="1"/>
  <c r="M38" i="1" s="1"/>
  <c r="J38" i="1"/>
  <c r="K37" i="1"/>
  <c r="M37" i="1" s="1"/>
  <c r="J37" i="1"/>
  <c r="K36" i="1"/>
  <c r="M36" i="1" s="1"/>
  <c r="J36" i="1"/>
  <c r="K35" i="1"/>
  <c r="M35" i="1" s="1"/>
  <c r="J35" i="1"/>
  <c r="K34" i="1"/>
  <c r="M34" i="1" s="1"/>
  <c r="J34" i="1"/>
  <c r="K33" i="1"/>
  <c r="M33" i="1" s="1"/>
  <c r="J33" i="1"/>
  <c r="K32" i="1"/>
  <c r="M32" i="1" s="1"/>
  <c r="J32" i="1"/>
  <c r="K29" i="1"/>
  <c r="M29" i="1" s="1"/>
  <c r="J29" i="1"/>
  <c r="K28" i="1"/>
  <c r="M28" i="1" s="1"/>
  <c r="J28" i="1"/>
  <c r="K27" i="1"/>
  <c r="M27" i="1" s="1"/>
  <c r="J27" i="1"/>
  <c r="K26" i="1"/>
  <c r="M26" i="1" s="1"/>
  <c r="J26" i="1"/>
  <c r="K25" i="1"/>
  <c r="M25" i="1" s="1"/>
  <c r="J25" i="1"/>
  <c r="K24" i="1"/>
  <c r="M24" i="1" s="1"/>
  <c r="J24" i="1"/>
  <c r="K23" i="1"/>
  <c r="M23" i="1" s="1"/>
  <c r="J23" i="1"/>
  <c r="K22" i="1"/>
  <c r="M22" i="1" s="1"/>
  <c r="J22" i="1"/>
  <c r="M21" i="1"/>
  <c r="J21" i="1"/>
  <c r="K20" i="1"/>
  <c r="M20" i="1" s="1"/>
  <c r="J20" i="1"/>
  <c r="K19" i="1"/>
  <c r="M19" i="1" s="1"/>
  <c r="J19" i="1"/>
  <c r="M47" i="1" l="1"/>
  <c r="K47" i="1"/>
  <c r="J47" i="1"/>
  <c r="O30" i="1" l="1"/>
  <c r="O31" i="1"/>
  <c r="O40" i="1"/>
  <c r="O32" i="1"/>
  <c r="O22" i="1"/>
  <c r="O39" i="1"/>
  <c r="O29" i="1"/>
  <c r="O21" i="1"/>
  <c r="O44" i="1"/>
  <c r="O36" i="1"/>
  <c r="O26" i="1"/>
  <c r="O43" i="1"/>
  <c r="O35" i="1"/>
  <c r="O25" i="1"/>
  <c r="O41" i="1"/>
  <c r="O23" i="1"/>
  <c r="O42" i="1"/>
  <c r="O20" i="1"/>
  <c r="O37" i="1"/>
  <c r="O19" i="1"/>
  <c r="O34" i="1"/>
  <c r="O38" i="1"/>
  <c r="O33" i="1"/>
  <c r="O28" i="1"/>
  <c r="O45" i="1"/>
  <c r="O27" i="1"/>
  <c r="O46" i="1"/>
  <c r="O24" i="1"/>
  <c r="O47" i="1" l="1"/>
  <c r="G19" i="1" l="1"/>
  <c r="G20" i="1"/>
  <c r="G21" i="1"/>
  <c r="G22" i="1"/>
  <c r="G23" i="1"/>
  <c r="G24" i="1"/>
  <c r="G25" i="1"/>
  <c r="G26" i="1"/>
  <c r="G27" i="1"/>
  <c r="G28" i="1"/>
  <c r="G29" i="1"/>
  <c r="G32" i="1"/>
  <c r="G33" i="1"/>
  <c r="G34" i="1"/>
  <c r="G35" i="1"/>
  <c r="G36" i="1"/>
  <c r="G37" i="1"/>
  <c r="G38" i="1"/>
  <c r="G39" i="1"/>
  <c r="N39" i="1" s="1"/>
  <c r="G52" i="1"/>
  <c r="G40" i="1"/>
  <c r="G41" i="1"/>
  <c r="G42" i="1"/>
  <c r="G43" i="1"/>
  <c r="G44" i="1"/>
  <c r="G45" i="1"/>
  <c r="G46" i="1"/>
  <c r="G53" i="1"/>
  <c r="N44" i="1" l="1"/>
  <c r="L44" i="1"/>
  <c r="L40" i="1"/>
  <c r="N40" i="1"/>
  <c r="N33" i="1"/>
  <c r="L33" i="1"/>
  <c r="L28" i="1"/>
  <c r="N28" i="1"/>
  <c r="N24" i="1"/>
  <c r="L24" i="1"/>
  <c r="L20" i="1"/>
  <c r="N20" i="1"/>
  <c r="L43" i="1"/>
  <c r="N43" i="1"/>
  <c r="L36" i="1"/>
  <c r="N36" i="1"/>
  <c r="N32" i="1"/>
  <c r="L32" i="1"/>
  <c r="N27" i="1"/>
  <c r="L27" i="1"/>
  <c r="N23" i="1"/>
  <c r="L23" i="1"/>
  <c r="N19" i="1"/>
  <c r="L19" i="1"/>
  <c r="G47" i="1"/>
  <c r="N46" i="1"/>
  <c r="L46" i="1"/>
  <c r="N42" i="1"/>
  <c r="L42" i="1"/>
  <c r="L39" i="1"/>
  <c r="L35" i="1"/>
  <c r="N35" i="1"/>
  <c r="L26" i="1"/>
  <c r="N26" i="1"/>
  <c r="N22" i="1"/>
  <c r="L22" i="1"/>
  <c r="N45" i="1"/>
  <c r="L45" i="1"/>
  <c r="N41" i="1"/>
  <c r="L41" i="1"/>
  <c r="L38" i="1"/>
  <c r="N38" i="1"/>
  <c r="N34" i="1"/>
  <c r="L34" i="1"/>
  <c r="L29" i="1"/>
  <c r="N29" i="1"/>
  <c r="L25" i="1"/>
  <c r="N25" i="1"/>
  <c r="L21" i="1"/>
  <c r="N21" i="1"/>
  <c r="N37" i="1"/>
  <c r="L37" i="1"/>
  <c r="B11" i="1" l="1"/>
  <c r="B10" i="1" s="1"/>
  <c r="L47" i="1"/>
  <c r="N47" i="1"/>
  <c r="N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Göran Erselius</author>
  </authors>
  <commentList>
    <comment ref="A23" authorId="0" shapeId="0" xr:uid="{E2674B76-3E0E-4A42-987A-596EE3DAC7FA}">
      <text>
        <r>
          <rPr>
            <b/>
            <sz val="9"/>
            <color indexed="81"/>
            <rFont val="Tahoma"/>
            <family val="2"/>
          </rPr>
          <t>Göran Erselius:</t>
        </r>
        <r>
          <rPr>
            <sz val="9"/>
            <color indexed="81"/>
            <rFont val="Tahoma"/>
            <family val="2"/>
          </rPr>
          <t xml:space="preserve">
KVV6 och KVV8</t>
        </r>
      </text>
    </comment>
    <comment ref="C24" authorId="0" shapeId="0" xr:uid="{ACA8CE3B-0042-4640-8845-FDCDEEF49F5A}">
      <text>
        <r>
          <rPr>
            <b/>
            <sz val="9"/>
            <color indexed="81"/>
            <rFont val="Tahoma"/>
            <charset val="1"/>
          </rPr>
          <t>Göran Erselius:</t>
        </r>
        <r>
          <rPr>
            <sz val="9"/>
            <color indexed="81"/>
            <rFont val="Tahoma"/>
            <charset val="1"/>
          </rPr>
          <t xml:space="preserve">
Endast Direktvärne VP</t>
        </r>
      </text>
    </comment>
    <comment ref="A25" authorId="0" shapeId="0" xr:uid="{7E48B9F6-D8C6-4ACC-821F-03339B54D7CB}">
      <text>
        <r>
          <rPr>
            <b/>
            <sz val="9"/>
            <color indexed="81"/>
            <rFont val="Tahoma"/>
            <family val="2"/>
          </rPr>
          <t>Göran Erselius:</t>
        </r>
        <r>
          <rPr>
            <sz val="9"/>
            <color indexed="81"/>
            <rFont val="Tahoma"/>
            <family val="2"/>
          </rPr>
          <t xml:space="preserve">
RGK KVV6 och KVV8</t>
        </r>
      </text>
    </comment>
    <comment ref="C25" authorId="0" shapeId="0" xr:uid="{ED9E70C6-AE51-4A57-8CA2-890A04534872}">
      <text>
        <r>
          <rPr>
            <b/>
            <sz val="9"/>
            <color indexed="81"/>
            <rFont val="Tahoma"/>
            <charset val="1"/>
          </rPr>
          <t>Göran Erselius:</t>
        </r>
        <r>
          <rPr>
            <sz val="9"/>
            <color indexed="81"/>
            <rFont val="Tahoma"/>
            <charset val="1"/>
          </rPr>
          <t xml:space="preserve">
RGK endast KVV6+8.</t>
        </r>
      </text>
    </comment>
    <comment ref="C26" authorId="0" shapeId="0" xr:uid="{18898391-29D2-42B5-88AE-82A530F45B5A}">
      <text>
        <r>
          <rPr>
            <b/>
            <sz val="9"/>
            <color indexed="81"/>
            <rFont val="Tahoma"/>
            <charset val="1"/>
          </rPr>
          <t>Göran Erselius:</t>
        </r>
        <r>
          <rPr>
            <sz val="9"/>
            <color indexed="81"/>
            <rFont val="Tahoma"/>
            <charset val="1"/>
          </rPr>
          <t xml:space="preserve">
DV VV4, Ånga VV4</t>
        </r>
      </text>
    </comment>
    <comment ref="C43" authorId="0" shapeId="0" xr:uid="{D2E5363B-D6B6-412B-B2F5-DC9255BE0719}">
      <text>
        <r>
          <rPr>
            <b/>
            <sz val="9"/>
            <color indexed="81"/>
            <rFont val="Tahoma"/>
            <charset val="1"/>
          </rPr>
          <t>Göran Erselius:</t>
        </r>
        <r>
          <rPr>
            <sz val="9"/>
            <color indexed="81"/>
            <rFont val="Tahoma"/>
            <charset val="1"/>
          </rPr>
          <t xml:space="preserve">
All elförbrukning i Nordvästra utom KVV</t>
        </r>
      </text>
    </comment>
  </commentList>
</comments>
</file>

<file path=xl/sharedStrings.xml><?xml version="1.0" encoding="utf-8"?>
<sst xmlns="http://schemas.openxmlformats.org/spreadsheetml/2006/main" count="215" uniqueCount="98">
  <si>
    <r>
      <t>M (totalt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-utsläpp i mg alstrat av systemet)</t>
    </r>
  </si>
  <si>
    <r>
      <t>W</t>
    </r>
    <r>
      <rPr>
        <vertAlign val="subscript"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 xml:space="preserve"> (totalt genererad el i kWh)</t>
    </r>
  </si>
  <si>
    <r>
      <t>m</t>
    </r>
    <r>
      <rPr>
        <vertAlign val="subscript"/>
        <sz val="11"/>
        <color theme="1"/>
        <rFont val="Calibri"/>
        <family val="2"/>
        <scheme val="minor"/>
      </rPr>
      <t>el ref.</t>
    </r>
    <r>
      <rPr>
        <sz val="11"/>
        <color theme="1"/>
        <rFont val="Calibri"/>
        <family val="2"/>
        <scheme val="minor"/>
      </rPr>
      <t xml:space="preserve"> (NO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-utsläpp, 70 mg/kWh</t>
    </r>
    <r>
      <rPr>
        <vertAlign val="subscript"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>)</t>
    </r>
  </si>
  <si>
    <r>
      <t>W</t>
    </r>
    <r>
      <rPr>
        <vertAlign val="subscript"/>
        <sz val="11"/>
        <color theme="1"/>
        <rFont val="Calibri"/>
        <family val="2"/>
        <scheme val="minor"/>
      </rPr>
      <t xml:space="preserve">heat </t>
    </r>
    <r>
      <rPr>
        <sz val="11"/>
        <color theme="1"/>
        <rFont val="Calibri"/>
        <family val="2"/>
        <scheme val="minor"/>
      </rPr>
      <t>(totalt genererad värme i kWh)</t>
    </r>
  </si>
  <si>
    <t>NOx-utsläpp per anläggning och bränsle</t>
  </si>
  <si>
    <t>Avfall</t>
  </si>
  <si>
    <t>KVV1</t>
  </si>
  <si>
    <t>olja</t>
  </si>
  <si>
    <t>bioolja</t>
  </si>
  <si>
    <t>KVV6</t>
  </si>
  <si>
    <t>kol</t>
  </si>
  <si>
    <t>Olivkärnor KVV6</t>
  </si>
  <si>
    <t>KVV</t>
  </si>
  <si>
    <t>Ropsten Nimrod Gåshaga</t>
  </si>
  <si>
    <t>El VP</t>
  </si>
  <si>
    <t>Ropsten Nimrod Gåshaga, KVV</t>
  </si>
  <si>
    <t>Energi i sjö- och avlopp, RGK</t>
  </si>
  <si>
    <t>DV</t>
  </si>
  <si>
    <t>EL VP + Lokallast ej KVV</t>
  </si>
  <si>
    <t>bioolja + Lokallast Värtan</t>
  </si>
  <si>
    <t>KVV8</t>
  </si>
  <si>
    <t>Flis KVV8, KVV2</t>
  </si>
  <si>
    <t>El lokallast</t>
  </si>
  <si>
    <t>Högdalen</t>
  </si>
  <si>
    <t>Returbränsle</t>
  </si>
  <si>
    <t>Högdalen mfl</t>
  </si>
  <si>
    <t>Olja</t>
  </si>
  <si>
    <t>Hammarby</t>
  </si>
  <si>
    <t>Pellets HVC Hammarby</t>
  </si>
  <si>
    <t>Flis Brista 1</t>
  </si>
  <si>
    <t>Pellets (exkl HVC Hammarby)</t>
  </si>
  <si>
    <t>Anläggning</t>
  </si>
  <si>
    <t>Bränsle</t>
  </si>
  <si>
    <t>Summa</t>
  </si>
  <si>
    <t>N0x emissioner</t>
  </si>
  <si>
    <t>- Emissionsfaktorerna är baserade på historiska utsläpp för befintliga anläggningar och beräknade värden för nya anläggningar.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</si>
  <si>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heat</t>
    </r>
    <r>
      <rPr>
        <b/>
        <sz val="11"/>
        <color theme="1"/>
        <rFont val="Calibri"/>
        <family val="2"/>
        <scheme val="minor"/>
      </rPr>
      <t xml:space="preserve"> = (M-W</t>
    </r>
    <r>
      <rPr>
        <b/>
        <vertAlign val="subscript"/>
        <sz val="11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*m</t>
    </r>
    <r>
      <rPr>
        <b/>
        <vertAlign val="subscript"/>
        <sz val="11"/>
        <color theme="1"/>
        <rFont val="Calibri"/>
        <family val="2"/>
        <scheme val="minor"/>
      </rPr>
      <t>el ref</t>
    </r>
    <r>
      <rPr>
        <b/>
        <sz val="11"/>
        <color theme="1"/>
        <rFont val="Calibri"/>
        <family val="2"/>
        <scheme val="minor"/>
      </rPr>
      <t>.)/W</t>
    </r>
    <r>
      <rPr>
        <b/>
        <vertAlign val="subscript"/>
        <sz val="11"/>
        <color theme="1"/>
        <rFont val="Calibri"/>
        <family val="2"/>
        <scheme val="minor"/>
      </rPr>
      <t>heat</t>
    </r>
    <r>
      <rPr>
        <b/>
        <sz val="11"/>
        <color theme="1"/>
        <rFont val="Calibri"/>
        <family val="2"/>
        <scheme val="minor"/>
      </rPr>
      <t xml:space="preserve"> 
(NO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-utsläpp per alstrad värmeenhet i mg/kWh</t>
    </r>
    <r>
      <rPr>
        <b/>
        <vertAlign val="subscript"/>
        <sz val="11"/>
        <color theme="1"/>
        <rFont val="Calibri"/>
        <family val="2"/>
        <scheme val="minor"/>
      </rPr>
      <t>heat</t>
    </r>
    <r>
      <rPr>
        <b/>
        <sz val="11"/>
        <color theme="1"/>
        <rFont val="Calibri"/>
        <family val="2"/>
        <scheme val="minor"/>
      </rPr>
      <t>)</t>
    </r>
  </si>
  <si>
    <t>Fortum Värmes produktion år 2017</t>
  </si>
  <si>
    <t>N0x utsläpp enligt Breeam</t>
  </si>
  <si>
    <t>Tillfört 
GWh/år</t>
  </si>
  <si>
    <t>Värmeprod 
GWh/år</t>
  </si>
  <si>
    <t>Elprod 
GWh/år</t>
  </si>
  <si>
    <t>NOx 
mg/MJ</t>
  </si>
  <si>
    <t>NOx 
mg</t>
  </si>
  <si>
    <t>mg</t>
  </si>
  <si>
    <t>mg/kWh</t>
  </si>
  <si>
    <t>kWh/år</t>
  </si>
  <si>
    <t>mg/kWh el</t>
  </si>
  <si>
    <t>Lokallasten allokeras utifrån hur mycket som producerats av el och värme i kraftvärmeverket. Denna produktionen är redan redovisad per bränsle.</t>
  </si>
  <si>
    <t>Värmeprod 
kWh/år</t>
  </si>
  <si>
    <t>Elprod 
kWh/år</t>
  </si>
  <si>
    <t>Nox avdrag mg</t>
  </si>
  <si>
    <t>Nox med avdrag</t>
  </si>
  <si>
    <t>Snitt</t>
  </si>
  <si>
    <t>Avdrag kraftvärme mg/kWh,el</t>
  </si>
  <si>
    <t>Andel av värmeproduktion (H/H_t)</t>
  </si>
  <si>
    <r>
      <t>NO</t>
    </r>
    <r>
      <rPr>
        <vertAlign val="subscript"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värdet är torr NO</t>
    </r>
    <r>
      <rPr>
        <vertAlign val="subscript"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vid 0% O</t>
    </r>
    <r>
      <rPr>
        <vertAlign val="subscript"/>
        <sz val="12"/>
        <color theme="1"/>
        <rFont val="Times New Roman"/>
        <family val="1"/>
      </rPr>
      <t>2</t>
    </r>
  </si>
  <si>
    <t>Kol</t>
  </si>
  <si>
    <t>RT-flis</t>
  </si>
  <si>
    <t>City:</t>
  </si>
  <si>
    <t>BROMMA</t>
  </si>
  <si>
    <t>GÅSHAGA VV</t>
  </si>
  <si>
    <t>KAROLINSKA SJUKHUSET</t>
  </si>
  <si>
    <t>KRAFTVÄRMEVERK 1</t>
  </si>
  <si>
    <t>KRAFTVÄRMEVERK 6 (PFBC)</t>
  </si>
  <si>
    <t>KRAFTVÄRMEVERK 8</t>
  </si>
  <si>
    <t>KYLA NIMROD</t>
  </si>
  <si>
    <t>LIDINGÖ VÄRMEVERK</t>
  </si>
  <si>
    <t>ROPSTEN 1 OCH 2</t>
  </si>
  <si>
    <t>ROPSTEN 3</t>
  </si>
  <si>
    <t>VÄRMEVERK 1 INKL.73T7/T8        2X115MW</t>
  </si>
  <si>
    <t>VÄRMEVERK 2</t>
  </si>
  <si>
    <t>VÄRMEVERK 3</t>
  </si>
  <si>
    <t>VÄRMEVERK 4  (3 X 50 MW VÄRMEEFFEKT)</t>
  </si>
  <si>
    <t>LOKALLASTVERK CITY FJV.NÄT</t>
  </si>
  <si>
    <t>LOKALLASTVERK Fjärrvärmenätet City</t>
  </si>
  <si>
    <t>ROPSTEN VV</t>
  </si>
  <si>
    <t>FARSTA</t>
  </si>
  <si>
    <t>GUBBEN NOAK</t>
  </si>
  <si>
    <t>HAMMARBY</t>
  </si>
  <si>
    <t>HÖGDALEN</t>
  </si>
  <si>
    <t>LILJEHOLMEN</t>
  </si>
  <si>
    <t>LUDVIGSBERG</t>
  </si>
  <si>
    <t>ORMINGE PC</t>
  </si>
  <si>
    <t>SKARPNÄCK</t>
  </si>
  <si>
    <t>ÅRSTA</t>
  </si>
  <si>
    <t>LOKALLASTVERK Fjärrvärmenätet Högdalen</t>
  </si>
  <si>
    <t>LOKALLASTVERK Hammarby Fjv nät</t>
  </si>
  <si>
    <t>LOKALLASTVERK SÖDER FJV.NÄT</t>
  </si>
  <si>
    <t>NACKA STRAND</t>
  </si>
  <si>
    <t>ÄLVSJÖ</t>
  </si>
  <si>
    <t>GASTURBIN</t>
  </si>
  <si>
    <t>Söder</t>
  </si>
  <si>
    <t>City</t>
  </si>
  <si>
    <t>Nordvästra</t>
  </si>
  <si>
    <t>Utfall produktion för år 2017</t>
  </si>
  <si>
    <t>Pol 4 - Underlag för utfall för NOx utsläpp för år 2017</t>
  </si>
  <si>
    <t>- Beräkning gjord utifrån faktisk produktion år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</si>
</sst>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444444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11" xfId="0" applyBorder="1"/>
    <xf numFmtId="164" fontId="0" fillId="0" borderId="12" xfId="1" applyNumberFormat="1" applyFont="1" applyBorder="1"/>
    <xf numFmtId="0" fontId="0" fillId="0" borderId="13" xfId="0" applyBorder="1"/>
    <xf numFmtId="164" fontId="0" fillId="0" borderId="14" xfId="1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2" borderId="10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0" xfId="0" quotePrefix="1"/>
    <xf numFmtId="0" fontId="0" fillId="0" borderId="11" xfId="0" applyFont="1" applyBorder="1" applyAlignment="1">
      <alignment wrapText="1"/>
    </xf>
    <xf numFmtId="3" fontId="0" fillId="0" borderId="12" xfId="0" applyNumberFormat="1" applyBorder="1"/>
    <xf numFmtId="0" fontId="0" fillId="0" borderId="15" xfId="0" applyFont="1" applyBorder="1" applyAlignment="1">
      <alignment wrapText="1"/>
    </xf>
    <xf numFmtId="3" fontId="0" fillId="0" borderId="16" xfId="0" applyNumberFormat="1" applyBorder="1"/>
    <xf numFmtId="0" fontId="1" fillId="0" borderId="13" xfId="0" applyFont="1" applyBorder="1" applyAlignment="1">
      <alignment wrapText="1"/>
    </xf>
    <xf numFmtId="1" fontId="1" fillId="0" borderId="14" xfId="0" applyNumberFormat="1" applyFont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0" fontId="6" fillId="0" borderId="0" xfId="0" applyFont="1"/>
    <xf numFmtId="164" fontId="0" fillId="0" borderId="0" xfId="0" applyNumberFormat="1"/>
    <xf numFmtId="0" fontId="7" fillId="0" borderId="0" xfId="0" quotePrefix="1" applyFont="1"/>
    <xf numFmtId="0" fontId="8" fillId="0" borderId="0" xfId="0" applyFont="1"/>
    <xf numFmtId="0" fontId="5" fillId="0" borderId="0" xfId="0" applyFont="1" applyAlignment="1">
      <alignment vertical="top"/>
    </xf>
    <xf numFmtId="0" fontId="1" fillId="2" borderId="17" xfId="0" applyFont="1" applyFill="1" applyBorder="1" applyAlignment="1">
      <alignment wrapText="1"/>
    </xf>
    <xf numFmtId="164" fontId="0" fillId="0" borderId="1" xfId="0" applyNumberFormat="1" applyBorder="1"/>
    <xf numFmtId="9" fontId="0" fillId="0" borderId="18" xfId="2" applyFont="1" applyBorder="1"/>
    <xf numFmtId="164" fontId="0" fillId="0" borderId="5" xfId="0" applyNumberFormat="1" applyFill="1" applyBorder="1"/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164" fontId="0" fillId="0" borderId="11" xfId="0" applyNumberFormat="1" applyBorder="1"/>
    <xf numFmtId="10" fontId="0" fillId="0" borderId="12" xfId="2" applyNumberFormat="1" applyFont="1" applyBorder="1"/>
    <xf numFmtId="164" fontId="0" fillId="0" borderId="18" xfId="0" applyNumberFormat="1" applyBorder="1"/>
    <xf numFmtId="0" fontId="0" fillId="0" borderId="0" xfId="0" applyAlignment="1">
      <alignment horizontal="right"/>
    </xf>
    <xf numFmtId="0" fontId="9" fillId="0" borderId="0" xfId="0" applyFont="1"/>
    <xf numFmtId="0" fontId="7" fillId="0" borderId="0" xfId="0" quotePrefix="1" applyFont="1" applyAlignment="1">
      <alignment wrapText="1"/>
    </xf>
    <xf numFmtId="0" fontId="8" fillId="0" borderId="0" xfId="0" applyFont="1" applyAlignment="1"/>
    <xf numFmtId="164" fontId="0" fillId="0" borderId="1" xfId="1" applyNumberFormat="1" applyFont="1" applyFill="1" applyBorder="1"/>
    <xf numFmtId="0" fontId="0" fillId="3" borderId="21" xfId="0" applyFont="1" applyFill="1" applyBorder="1"/>
    <xf numFmtId="0" fontId="0" fillId="0" borderId="21" xfId="0" applyFont="1" applyBorder="1"/>
    <xf numFmtId="9" fontId="0" fillId="0" borderId="0" xfId="2" applyFont="1"/>
    <xf numFmtId="164" fontId="0" fillId="0" borderId="0" xfId="1" applyNumberFormat="1" applyFont="1" applyBorder="1"/>
    <xf numFmtId="164" fontId="0" fillId="0" borderId="0" xfId="0" applyNumberFormat="1" applyBorder="1"/>
    <xf numFmtId="164" fontId="0" fillId="0" borderId="5" xfId="1" applyNumberFormat="1" applyFont="1" applyFill="1" applyBorder="1"/>
    <xf numFmtId="164" fontId="4" fillId="0" borderId="1" xfId="1" applyNumberFormat="1" applyFont="1" applyFill="1" applyBorder="1"/>
    <xf numFmtId="164" fontId="0" fillId="0" borderId="0" xfId="1" applyNumberFormat="1" applyFont="1" applyFill="1" applyBorder="1"/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1612978</xdr:colOff>
      <xdr:row>0</xdr:row>
      <xdr:rowOff>504825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12978" cy="504825"/>
        </a:xfrm>
        <a:prstGeom prst="rect">
          <a:avLst/>
        </a:prstGeom>
      </xdr:spPr>
    </xdr:pic>
    <xdr:clientData/>
  </xdr:twoCellAnchor>
  <xdr:twoCellAnchor>
    <xdr:from>
      <xdr:col>3</xdr:col>
      <xdr:colOff>746871</xdr:colOff>
      <xdr:row>0</xdr:row>
      <xdr:rowOff>78443</xdr:rowOff>
    </xdr:from>
    <xdr:to>
      <xdr:col>8</xdr:col>
      <xdr:colOff>123263</xdr:colOff>
      <xdr:row>1</xdr:row>
      <xdr:rowOff>1030943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85136" y="78443"/>
          <a:ext cx="3175186" cy="1512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Uppgiftsutlämnare:</a:t>
          </a:r>
        </a:p>
        <a:p>
          <a:r>
            <a:rPr lang="sv-SE" sz="1100"/>
            <a:t>Christer Boberg</a:t>
          </a:r>
          <a:br>
            <a:rPr lang="sv-SE" sz="1100"/>
          </a:br>
          <a:r>
            <a:rPr lang="sv-SE" sz="1100"/>
            <a:t>AB Fortum Värme samägt med Stockholm stad</a:t>
          </a:r>
          <a:br>
            <a:rPr lang="sv-SE" sz="1100"/>
          </a:br>
          <a:r>
            <a:rPr lang="sv-SE" sz="1100"/>
            <a:t>Postadress: 115 77 Stockholm  I  Besöksadress: Lidingövägen 115 </a:t>
          </a:r>
        </a:p>
        <a:p>
          <a:r>
            <a:rPr lang="sv-SE" sz="1100"/>
            <a:t>Tel: +46 8 671 83 03, Mobil: +46 76</a:t>
          </a:r>
          <a:r>
            <a:rPr lang="sv-SE" sz="1100" baseline="0"/>
            <a:t> 764 94 67</a:t>
          </a:r>
          <a:endParaRPr lang="sv-SE" sz="1100"/>
        </a:p>
        <a:p>
          <a:r>
            <a:rPr lang="sv-SE" sz="1100"/>
            <a:t>E-mail: christer.boberg@fortum.com</a:t>
          </a:r>
          <a:br>
            <a:rPr lang="sv-SE" sz="1100"/>
          </a:br>
          <a:r>
            <a:rPr lang="sv-SE" sz="1100"/>
            <a:t>www.fortum.se </a:t>
          </a: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3"/>
  <sheetViews>
    <sheetView showGridLines="0" tabSelected="1" zoomScale="85" zoomScaleNormal="85" workbookViewId="0">
      <selection activeCell="C144" sqref="C144"/>
    </sheetView>
  </sheetViews>
  <sheetFormatPr defaultRowHeight="15" x14ac:dyDescent="0.25"/>
  <cols>
    <col min="1" max="1" width="45.28515625" customWidth="1"/>
    <col min="2" max="2" width="33" customWidth="1"/>
    <col min="3" max="3" width="12.5703125" customWidth="1"/>
    <col min="4" max="4" width="15.5703125" customWidth="1"/>
    <col min="5" max="5" width="12.42578125" customWidth="1"/>
    <col min="6" max="6" width="9.42578125" customWidth="1"/>
    <col min="7" max="7" width="22" customWidth="1"/>
    <col min="8" max="8" width="11.42578125" customWidth="1"/>
    <col min="9" max="9" width="14.28515625" style="50" hidden="1" customWidth="1"/>
    <col min="10" max="10" width="16.42578125" bestFit="1" customWidth="1"/>
    <col min="11" max="11" width="18.7109375" customWidth="1"/>
    <col min="12" max="12" width="22.5703125" customWidth="1"/>
    <col min="13" max="13" width="21.140625" customWidth="1"/>
    <col min="14" max="14" width="19.85546875" customWidth="1"/>
    <col min="15" max="15" width="20.5703125" customWidth="1"/>
  </cols>
  <sheetData>
    <row r="1" spans="1:13" ht="44.25" customHeight="1" x14ac:dyDescent="0.25"/>
    <row r="2" spans="1:13" ht="87.75" customHeight="1" x14ac:dyDescent="0.25">
      <c r="A2" s="33" t="s">
        <v>96</v>
      </c>
    </row>
    <row r="3" spans="1:13" x14ac:dyDescent="0.25">
      <c r="F3" s="29"/>
    </row>
    <row r="4" spans="1:13" ht="15.75" x14ac:dyDescent="0.25">
      <c r="A4" s="31" t="s">
        <v>97</v>
      </c>
      <c r="B4" s="32"/>
      <c r="C4" s="32"/>
      <c r="D4" s="32"/>
      <c r="E4" s="32"/>
    </row>
    <row r="5" spans="1:13" ht="37.5" customHeight="1" x14ac:dyDescent="0.25">
      <c r="A5" s="45" t="s">
        <v>35</v>
      </c>
      <c r="B5" s="46"/>
      <c r="C5" s="46"/>
      <c r="D5" s="46"/>
      <c r="E5" s="46"/>
    </row>
    <row r="6" spans="1:13" ht="15.75" x14ac:dyDescent="0.25">
      <c r="A6" s="31"/>
      <c r="B6" s="32"/>
      <c r="C6" s="32"/>
      <c r="D6" s="32"/>
      <c r="E6" s="32"/>
    </row>
    <row r="8" spans="1:13" ht="15.75" thickBot="1" x14ac:dyDescent="0.3">
      <c r="A8" s="20"/>
    </row>
    <row r="9" spans="1:13" ht="22.5" customHeight="1" thickBot="1" x14ac:dyDescent="0.3">
      <c r="A9" s="27" t="s">
        <v>38</v>
      </c>
      <c r="B9" s="13" t="s">
        <v>37</v>
      </c>
    </row>
    <row r="10" spans="1:13" ht="51.6" customHeight="1" x14ac:dyDescent="0.35">
      <c r="A10" s="25" t="s">
        <v>36</v>
      </c>
      <c r="B10" s="26">
        <f>(B11-B12*B13)/B14</f>
        <v>117.89738318402719</v>
      </c>
      <c r="C10" t="s">
        <v>45</v>
      </c>
      <c r="D10" s="44" t="s">
        <v>56</v>
      </c>
    </row>
    <row r="11" spans="1:13" ht="18" x14ac:dyDescent="0.35">
      <c r="A11" s="21" t="s">
        <v>0</v>
      </c>
      <c r="B11" s="22">
        <f>'NOx Breem'!G47</f>
        <v>1029038351400</v>
      </c>
      <c r="C11" t="s">
        <v>44</v>
      </c>
    </row>
    <row r="12" spans="1:13" ht="18" x14ac:dyDescent="0.35">
      <c r="A12" s="21" t="s">
        <v>1</v>
      </c>
      <c r="B12" s="22">
        <f>SUM(E19:E46)*1000000</f>
        <v>1683037999.9999998</v>
      </c>
      <c r="C12" t="s">
        <v>46</v>
      </c>
      <c r="D12" s="30"/>
    </row>
    <row r="13" spans="1:13" ht="18" x14ac:dyDescent="0.35">
      <c r="A13" s="21" t="s">
        <v>2</v>
      </c>
      <c r="B13" s="22">
        <v>70</v>
      </c>
      <c r="C13" t="s">
        <v>47</v>
      </c>
    </row>
    <row r="14" spans="1:13" ht="18.75" thickBot="1" x14ac:dyDescent="0.4">
      <c r="A14" s="23" t="s">
        <v>3</v>
      </c>
      <c r="B14" s="24">
        <f>SUM(D19:D46)*1000000</f>
        <v>7728972999.9999981</v>
      </c>
      <c r="C14" t="s">
        <v>46</v>
      </c>
      <c r="D14" s="30"/>
    </row>
    <row r="15" spans="1:13" x14ac:dyDescent="0.25">
      <c r="G15" s="30">
        <f>F19*3.6</f>
        <v>198</v>
      </c>
    </row>
    <row r="16" spans="1:13" ht="15.75" thickBot="1" x14ac:dyDescent="0.3">
      <c r="M16" t="s">
        <v>54</v>
      </c>
    </row>
    <row r="17" spans="1:15" ht="15.75" thickBot="1" x14ac:dyDescent="0.3">
      <c r="A17" s="18" t="s">
        <v>4</v>
      </c>
      <c r="B17" s="14"/>
      <c r="C17" s="15" t="s">
        <v>95</v>
      </c>
      <c r="D17" s="16"/>
      <c r="E17" s="17"/>
      <c r="F17" s="18" t="s">
        <v>34</v>
      </c>
      <c r="G17" s="19"/>
      <c r="H17" s="51"/>
      <c r="M17">
        <v>70</v>
      </c>
    </row>
    <row r="18" spans="1:15" ht="45.75" thickBot="1" x14ac:dyDescent="0.3">
      <c r="A18" s="11" t="s">
        <v>31</v>
      </c>
      <c r="B18" s="12" t="s">
        <v>32</v>
      </c>
      <c r="C18" s="28" t="s">
        <v>39</v>
      </c>
      <c r="D18" s="28" t="s">
        <v>40</v>
      </c>
      <c r="E18" s="28" t="s">
        <v>41</v>
      </c>
      <c r="F18" s="28" t="s">
        <v>42</v>
      </c>
      <c r="G18" s="28" t="s">
        <v>43</v>
      </c>
      <c r="H18" s="51"/>
      <c r="J18" s="38" t="s">
        <v>49</v>
      </c>
      <c r="K18" s="34" t="s">
        <v>50</v>
      </c>
      <c r="L18" s="28" t="s">
        <v>43</v>
      </c>
      <c r="M18" s="34" t="s">
        <v>51</v>
      </c>
      <c r="N18" s="34" t="s">
        <v>52</v>
      </c>
      <c r="O18" s="39" t="s">
        <v>55</v>
      </c>
    </row>
    <row r="19" spans="1:15" x14ac:dyDescent="0.25">
      <c r="A19" s="9" t="s">
        <v>6</v>
      </c>
      <c r="B19" s="6" t="s">
        <v>7</v>
      </c>
      <c r="C19" s="53">
        <v>31.007999999999999</v>
      </c>
      <c r="D19" s="53">
        <v>23.971</v>
      </c>
      <c r="E19" s="53">
        <v>4.484</v>
      </c>
      <c r="F19" s="53">
        <v>55</v>
      </c>
      <c r="G19" s="10">
        <f t="shared" ref="G19:G46" si="0">F19*C19*3.6*1000*1000</f>
        <v>6139584000.000001</v>
      </c>
      <c r="H19" s="51"/>
      <c r="J19" s="40">
        <f>D19*1000000</f>
        <v>23971000</v>
      </c>
      <c r="K19" s="35">
        <f>E19*1000000</f>
        <v>4484000</v>
      </c>
      <c r="L19" s="35">
        <f>G19</f>
        <v>6139584000.000001</v>
      </c>
      <c r="M19" s="35">
        <f>K19*$M$17</f>
        <v>313880000</v>
      </c>
      <c r="N19" s="35">
        <f>G19-M19</f>
        <v>5825704000.000001</v>
      </c>
      <c r="O19" s="41">
        <f t="shared" ref="O19:O46" si="1">J19/$J$47</f>
        <v>3.1014469839653986E-3</v>
      </c>
    </row>
    <row r="20" spans="1:15" x14ac:dyDescent="0.25">
      <c r="A20" s="7" t="s">
        <v>6</v>
      </c>
      <c r="B20" s="1" t="s">
        <v>8</v>
      </c>
      <c r="C20" s="47">
        <v>0</v>
      </c>
      <c r="D20" s="47">
        <v>0</v>
      </c>
      <c r="E20" s="47">
        <v>0</v>
      </c>
      <c r="F20" s="47">
        <v>55</v>
      </c>
      <c r="G20" s="8">
        <f t="shared" si="0"/>
        <v>0</v>
      </c>
      <c r="H20" s="51"/>
      <c r="J20" s="40">
        <f t="shared" ref="J20:J46" si="2">D20*1000000</f>
        <v>0</v>
      </c>
      <c r="K20" s="35">
        <f t="shared" ref="K20:K46" si="3">E20*1000000</f>
        <v>0</v>
      </c>
      <c r="L20" s="35">
        <f t="shared" ref="L20:L46" si="4">G20</f>
        <v>0</v>
      </c>
      <c r="M20" s="35">
        <f t="shared" ref="M20:M46" si="5">K20*$M$17</f>
        <v>0</v>
      </c>
      <c r="N20" s="35">
        <f t="shared" ref="N20:N46" si="6">G20-M20</f>
        <v>0</v>
      </c>
      <c r="O20" s="41">
        <f t="shared" si="1"/>
        <v>0</v>
      </c>
    </row>
    <row r="21" spans="1:15" x14ac:dyDescent="0.25">
      <c r="A21" s="7" t="s">
        <v>9</v>
      </c>
      <c r="B21" s="1" t="s">
        <v>10</v>
      </c>
      <c r="C21" s="47">
        <v>1269.7909999999999</v>
      </c>
      <c r="D21" s="47">
        <f>758.654*I21</f>
        <v>726.41201591221511</v>
      </c>
      <c r="E21" s="47">
        <f>411.364*I21</f>
        <v>393.88146969990595</v>
      </c>
      <c r="F21" s="47">
        <v>25</v>
      </c>
      <c r="G21" s="8">
        <f t="shared" si="0"/>
        <v>114281189999.99998</v>
      </c>
      <c r="H21" s="51"/>
      <c r="I21" s="50">
        <f>C21/(C21+C22)</f>
        <v>0.95750106888280451</v>
      </c>
      <c r="J21" s="40">
        <f t="shared" si="2"/>
        <v>726412015.91221511</v>
      </c>
      <c r="K21" s="35">
        <f>E21*1000000</f>
        <v>393881469.69990593</v>
      </c>
      <c r="L21" s="35">
        <f t="shared" si="4"/>
        <v>114281189999.99998</v>
      </c>
      <c r="M21" s="35">
        <f t="shared" si="5"/>
        <v>27571702878.993416</v>
      </c>
      <c r="N21" s="35">
        <f t="shared" si="6"/>
        <v>86709487121.006561</v>
      </c>
      <c r="O21" s="41">
        <f t="shared" si="1"/>
        <v>9.3985580737856775E-2</v>
      </c>
    </row>
    <row r="22" spans="1:15" x14ac:dyDescent="0.25">
      <c r="A22" s="7" t="s">
        <v>9</v>
      </c>
      <c r="B22" s="1" t="s">
        <v>11</v>
      </c>
      <c r="C22" s="47">
        <v>56.36</v>
      </c>
      <c r="D22" s="47">
        <f>758.654*I22</f>
        <v>32.241984087784829</v>
      </c>
      <c r="E22" s="47">
        <f>411.364*I22</f>
        <v>17.482530300094005</v>
      </c>
      <c r="F22" s="47">
        <v>25</v>
      </c>
      <c r="G22" s="8">
        <f t="shared" si="0"/>
        <v>5072400000.000001</v>
      </c>
      <c r="H22" s="51"/>
      <c r="I22" s="50">
        <f>1-I21</f>
        <v>4.2498931117195493E-2</v>
      </c>
      <c r="J22" s="40">
        <f t="shared" si="2"/>
        <v>32241984.08778483</v>
      </c>
      <c r="K22" s="35">
        <f t="shared" si="3"/>
        <v>17482530.300094005</v>
      </c>
      <c r="L22" s="35">
        <f t="shared" si="4"/>
        <v>5072400000.000001</v>
      </c>
      <c r="M22" s="35">
        <f t="shared" si="5"/>
        <v>1223777121.0065804</v>
      </c>
      <c r="N22" s="35">
        <f t="shared" si="6"/>
        <v>3848622878.9934206</v>
      </c>
      <c r="O22" s="41">
        <f t="shared" si="1"/>
        <v>4.171574164870912E-3</v>
      </c>
    </row>
    <row r="23" spans="1:15" x14ac:dyDescent="0.25">
      <c r="A23" s="7" t="s">
        <v>12</v>
      </c>
      <c r="B23" s="1" t="s">
        <v>7</v>
      </c>
      <c r="C23" s="54">
        <f>5.893+4.116</f>
        <v>10.009</v>
      </c>
      <c r="D23" s="47">
        <v>0</v>
      </c>
      <c r="E23" s="47">
        <v>0</v>
      </c>
      <c r="F23" s="47">
        <v>55</v>
      </c>
      <c r="G23" s="8">
        <f t="shared" si="0"/>
        <v>1981782000.0000002</v>
      </c>
      <c r="H23" s="51"/>
      <c r="J23" s="40">
        <f t="shared" si="2"/>
        <v>0</v>
      </c>
      <c r="K23" s="35">
        <f t="shared" si="3"/>
        <v>0</v>
      </c>
      <c r="L23" s="35">
        <f t="shared" si="4"/>
        <v>1981782000.0000002</v>
      </c>
      <c r="M23" s="35">
        <f t="shared" si="5"/>
        <v>0</v>
      </c>
      <c r="N23" s="35">
        <f t="shared" si="6"/>
        <v>1981782000.0000002</v>
      </c>
      <c r="O23" s="41">
        <f t="shared" si="1"/>
        <v>0</v>
      </c>
    </row>
    <row r="24" spans="1:15" x14ac:dyDescent="0.25">
      <c r="A24" s="7" t="s">
        <v>13</v>
      </c>
      <c r="B24" s="1" t="s">
        <v>14</v>
      </c>
      <c r="C24" s="47">
        <v>164.00800000000001</v>
      </c>
      <c r="D24" s="47">
        <v>548.21500000000003</v>
      </c>
      <c r="E24" s="47">
        <v>0</v>
      </c>
      <c r="F24" s="47">
        <v>0</v>
      </c>
      <c r="G24" s="8">
        <f t="shared" si="0"/>
        <v>0</v>
      </c>
      <c r="H24" s="51"/>
      <c r="J24" s="40">
        <f t="shared" si="2"/>
        <v>548215000</v>
      </c>
      <c r="K24" s="35">
        <f t="shared" si="3"/>
        <v>0</v>
      </c>
      <c r="L24" s="35">
        <f t="shared" si="4"/>
        <v>0</v>
      </c>
      <c r="M24" s="35">
        <f t="shared" si="5"/>
        <v>0</v>
      </c>
      <c r="N24" s="35">
        <f t="shared" si="6"/>
        <v>0</v>
      </c>
      <c r="O24" s="41">
        <f t="shared" si="1"/>
        <v>7.0929863514855085E-2</v>
      </c>
    </row>
    <row r="25" spans="1:15" x14ac:dyDescent="0.25">
      <c r="A25" s="7" t="s">
        <v>15</v>
      </c>
      <c r="B25" s="1" t="s">
        <v>16</v>
      </c>
      <c r="C25" s="47">
        <f>416.552+577.501</f>
        <v>994.053</v>
      </c>
      <c r="D25" s="47">
        <v>577.50099999999998</v>
      </c>
      <c r="E25" s="47">
        <v>0</v>
      </c>
      <c r="F25" s="47">
        <v>0</v>
      </c>
      <c r="G25" s="8">
        <f t="shared" si="0"/>
        <v>0</v>
      </c>
      <c r="H25" s="51"/>
      <c r="J25" s="40">
        <f t="shared" si="2"/>
        <v>577501000</v>
      </c>
      <c r="K25" s="35">
        <f t="shared" si="3"/>
        <v>0</v>
      </c>
      <c r="L25" s="35">
        <f t="shared" si="4"/>
        <v>0</v>
      </c>
      <c r="M25" s="35">
        <f t="shared" si="5"/>
        <v>0</v>
      </c>
      <c r="N25" s="35">
        <f t="shared" si="6"/>
        <v>0</v>
      </c>
      <c r="O25" s="41">
        <f t="shared" si="1"/>
        <v>7.4718982716073662E-2</v>
      </c>
    </row>
    <row r="26" spans="1:15" x14ac:dyDescent="0.25">
      <c r="A26" s="7" t="s">
        <v>17</v>
      </c>
      <c r="B26" s="1" t="s">
        <v>18</v>
      </c>
      <c r="C26" s="54">
        <v>69.906000000000006</v>
      </c>
      <c r="D26" s="47">
        <v>0.02</v>
      </c>
      <c r="E26" s="47">
        <v>0</v>
      </c>
      <c r="F26" s="47">
        <v>0</v>
      </c>
      <c r="G26" s="8">
        <f t="shared" si="0"/>
        <v>0</v>
      </c>
      <c r="H26" s="51"/>
      <c r="J26" s="40">
        <f t="shared" si="2"/>
        <v>20000</v>
      </c>
      <c r="K26" s="35">
        <f t="shared" si="3"/>
        <v>0</v>
      </c>
      <c r="L26" s="35">
        <f t="shared" si="4"/>
        <v>0</v>
      </c>
      <c r="M26" s="35">
        <f t="shared" si="5"/>
        <v>0</v>
      </c>
      <c r="N26" s="35">
        <f t="shared" si="6"/>
        <v>0</v>
      </c>
      <c r="O26" s="41">
        <f t="shared" si="1"/>
        <v>2.5876659162866786E-6</v>
      </c>
    </row>
    <row r="27" spans="1:15" x14ac:dyDescent="0.25">
      <c r="A27" s="7" t="s">
        <v>17</v>
      </c>
      <c r="B27" s="1" t="s">
        <v>7</v>
      </c>
      <c r="C27" s="47">
        <v>24.276</v>
      </c>
      <c r="D27" s="47">
        <f>70.268*I27</f>
        <v>18.213155895322394</v>
      </c>
      <c r="E27" s="47">
        <v>0</v>
      </c>
      <c r="F27" s="47">
        <v>100</v>
      </c>
      <c r="G27" s="8">
        <f t="shared" si="0"/>
        <v>8739360000</v>
      </c>
      <c r="H27" s="51"/>
      <c r="I27" s="50">
        <f>C27/(C27+C28)</f>
        <v>0.25919559252180785</v>
      </c>
      <c r="J27" s="40">
        <f t="shared" si="2"/>
        <v>18213155.895322394</v>
      </c>
      <c r="K27" s="35">
        <f t="shared" si="3"/>
        <v>0</v>
      </c>
      <c r="L27" s="35">
        <f t="shared" si="4"/>
        <v>8739360000</v>
      </c>
      <c r="M27" s="35">
        <f t="shared" si="5"/>
        <v>0</v>
      </c>
      <c r="N27" s="35">
        <f t="shared" si="6"/>
        <v>8739360000</v>
      </c>
      <c r="O27" s="41">
        <f t="shared" si="1"/>
        <v>2.3564781369170775E-3</v>
      </c>
    </row>
    <row r="28" spans="1:15" x14ac:dyDescent="0.25">
      <c r="A28" s="7" t="s">
        <v>17</v>
      </c>
      <c r="B28" s="1" t="s">
        <v>19</v>
      </c>
      <c r="C28" s="47">
        <v>69.382999999999996</v>
      </c>
      <c r="D28" s="47">
        <f>70.268*I28</f>
        <v>52.054844104677599</v>
      </c>
      <c r="E28" s="47">
        <v>0</v>
      </c>
      <c r="F28" s="47">
        <v>77.5</v>
      </c>
      <c r="G28" s="8">
        <f t="shared" si="0"/>
        <v>19357857000</v>
      </c>
      <c r="H28" s="51"/>
      <c r="I28" s="50">
        <f>1-I27</f>
        <v>0.7408044074781921</v>
      </c>
      <c r="J28" s="40">
        <f t="shared" si="2"/>
        <v>52054844.104677603</v>
      </c>
      <c r="K28" s="35">
        <f t="shared" si="3"/>
        <v>0</v>
      </c>
      <c r="L28" s="35">
        <f t="shared" si="4"/>
        <v>19357857000</v>
      </c>
      <c r="M28" s="35">
        <f t="shared" si="5"/>
        <v>0</v>
      </c>
      <c r="N28" s="35">
        <f t="shared" si="6"/>
        <v>19357857000</v>
      </c>
      <c r="O28" s="41">
        <f t="shared" si="1"/>
        <v>6.7350272933645395E-3</v>
      </c>
    </row>
    <row r="29" spans="1:15" x14ac:dyDescent="0.25">
      <c r="A29" s="7" t="s">
        <v>20</v>
      </c>
      <c r="B29" s="1" t="s">
        <v>21</v>
      </c>
      <c r="C29" s="47">
        <v>2053.2020000000002</v>
      </c>
      <c r="D29" s="47">
        <f>1254.809*I29</f>
        <v>1212.9729354544077</v>
      </c>
      <c r="E29" s="47">
        <f>683.062*I29</f>
        <v>660.28831418754464</v>
      </c>
      <c r="F29" s="47">
        <v>20</v>
      </c>
      <c r="G29" s="8">
        <f t="shared" si="0"/>
        <v>147830544000.00003</v>
      </c>
      <c r="H29" s="51"/>
      <c r="I29" s="50">
        <f>C29/(C29+C30+C31)</f>
        <v>0.96665941625730112</v>
      </c>
      <c r="J29" s="40">
        <f t="shared" si="2"/>
        <v>1212972935.4544077</v>
      </c>
      <c r="K29" s="35">
        <f t="shared" si="3"/>
        <v>660288314.18754458</v>
      </c>
      <c r="L29" s="35">
        <f t="shared" si="4"/>
        <v>147830544000.00003</v>
      </c>
      <c r="M29" s="35">
        <f t="shared" si="5"/>
        <v>46220181993.12812</v>
      </c>
      <c r="N29" s="35">
        <f t="shared" si="6"/>
        <v>101610362006.87192</v>
      </c>
      <c r="O29" s="41">
        <f t="shared" si="1"/>
        <v>0.1569384361226786</v>
      </c>
    </row>
    <row r="30" spans="1:15" x14ac:dyDescent="0.25">
      <c r="A30" s="7" t="s">
        <v>20</v>
      </c>
      <c r="B30" s="1" t="s">
        <v>57</v>
      </c>
      <c r="C30" s="47">
        <v>48.018999999999998</v>
      </c>
      <c r="D30" s="47">
        <f>1254.809*I30</f>
        <v>28.368249878767504</v>
      </c>
      <c r="E30" s="47">
        <f>683.062*I30</f>
        <v>15.442408763955861</v>
      </c>
      <c r="F30" s="47">
        <v>20</v>
      </c>
      <c r="G30" s="8">
        <f t="shared" ref="G30" si="7">F30*C30*3.6*1000*1000</f>
        <v>3457368000</v>
      </c>
      <c r="H30" s="51"/>
      <c r="I30" s="50">
        <f>C30/(C29+C30+C31)</f>
        <v>2.2607623852528555E-2</v>
      </c>
      <c r="J30" s="40">
        <f t="shared" ref="J30" si="8">D30*1000000</f>
        <v>28368249.878767505</v>
      </c>
      <c r="K30" s="35">
        <f t="shared" ref="K30" si="9">E30*1000000</f>
        <v>15442408.763955861</v>
      </c>
      <c r="L30" s="35">
        <f t="shared" ref="L30" si="10">G30</f>
        <v>3457368000</v>
      </c>
      <c r="M30" s="35">
        <f t="shared" ref="M30" si="11">K30*$M$17</f>
        <v>1080968613.4769104</v>
      </c>
      <c r="N30" s="35">
        <f t="shared" ref="N30" si="12">G30-M30</f>
        <v>2376399386.5230894</v>
      </c>
      <c r="O30" s="41">
        <f t="shared" si="1"/>
        <v>3.6703776657995191E-3</v>
      </c>
    </row>
    <row r="31" spans="1:15" x14ac:dyDescent="0.25">
      <c r="A31" s="7" t="s">
        <v>20</v>
      </c>
      <c r="B31" s="1" t="s">
        <v>58</v>
      </c>
      <c r="C31" s="47">
        <v>22.797000000000001</v>
      </c>
      <c r="D31" s="47">
        <f>1254.809*I31</f>
        <v>13.467814666824857</v>
      </c>
      <c r="E31" s="47">
        <f>683.062*I31</f>
        <v>7.3312770484995893</v>
      </c>
      <c r="F31" s="47">
        <v>20</v>
      </c>
      <c r="G31" s="8">
        <f t="shared" ref="G31" si="13">F31*C31*3.6*1000*1000</f>
        <v>1641384000</v>
      </c>
      <c r="H31" s="51"/>
      <c r="I31" s="50">
        <f>C31/(C29+C30+C31)</f>
        <v>1.0732959890170422E-2</v>
      </c>
      <c r="J31" s="40">
        <f t="shared" ref="J31" si="14">D31*1000000</f>
        <v>13467814.666824857</v>
      </c>
      <c r="K31" s="35">
        <f t="shared" ref="K31" si="15">E31*1000000</f>
        <v>7331277.0484995889</v>
      </c>
      <c r="L31" s="35">
        <f t="shared" ref="L31" si="16">G31</f>
        <v>1641384000</v>
      </c>
      <c r="M31" s="35">
        <f t="shared" ref="M31" si="17">K31*$M$17</f>
        <v>513189393.39497119</v>
      </c>
      <c r="N31" s="35">
        <f t="shared" ref="N31" si="18">G31-M31</f>
        <v>1128194606.6050289</v>
      </c>
      <c r="O31" s="41">
        <f t="shared" si="1"/>
        <v>1.7425102490104256E-3</v>
      </c>
    </row>
    <row r="32" spans="1:15" x14ac:dyDescent="0.25">
      <c r="A32" s="7" t="s">
        <v>23</v>
      </c>
      <c r="B32" s="1" t="s">
        <v>5</v>
      </c>
      <c r="C32" s="47">
        <v>1093.2260000000001</v>
      </c>
      <c r="D32" s="47">
        <f>1412.775*I32</f>
        <v>754.14288309504377</v>
      </c>
      <c r="E32" s="47">
        <f>296.277*I32</f>
        <v>158.15341506945569</v>
      </c>
      <c r="F32" s="47">
        <v>44</v>
      </c>
      <c r="G32" s="8">
        <f t="shared" si="0"/>
        <v>173166998400</v>
      </c>
      <c r="H32" s="51"/>
      <c r="I32" s="50">
        <f>C32/(C32+C33)</f>
        <v>0.53380253974981418</v>
      </c>
      <c r="J32" s="40">
        <f t="shared" si="2"/>
        <v>754142883.09504378</v>
      </c>
      <c r="K32" s="35">
        <f t="shared" si="3"/>
        <v>158153415.06945568</v>
      </c>
      <c r="L32" s="35">
        <f t="shared" si="4"/>
        <v>173166998400</v>
      </c>
      <c r="M32" s="35">
        <f t="shared" si="5"/>
        <v>11070739054.861898</v>
      </c>
      <c r="N32" s="35">
        <f t="shared" si="6"/>
        <v>162096259345.13809</v>
      </c>
      <c r="O32" s="41">
        <f t="shared" si="1"/>
        <v>9.7573491729760709E-2</v>
      </c>
    </row>
    <row r="33" spans="1:15" x14ac:dyDescent="0.25">
      <c r="A33" s="7" t="s">
        <v>23</v>
      </c>
      <c r="B33" s="1" t="s">
        <v>24</v>
      </c>
      <c r="C33" s="47">
        <v>954.77099999999996</v>
      </c>
      <c r="D33" s="47">
        <f>1412.775*I33</f>
        <v>658.63211690495632</v>
      </c>
      <c r="E33" s="47">
        <f>296.277*I33</f>
        <v>138.1235849305443</v>
      </c>
      <c r="F33" s="47">
        <v>44</v>
      </c>
      <c r="G33" s="8">
        <f t="shared" si="0"/>
        <v>151235726400</v>
      </c>
      <c r="H33" s="51"/>
      <c r="I33" s="50">
        <f>1-I32</f>
        <v>0.46619746025018582</v>
      </c>
      <c r="J33" s="40">
        <f t="shared" si="2"/>
        <v>658632116.90495634</v>
      </c>
      <c r="K33" s="35">
        <f t="shared" si="3"/>
        <v>138123584.93054429</v>
      </c>
      <c r="L33" s="35">
        <f t="shared" si="4"/>
        <v>151235726400</v>
      </c>
      <c r="M33" s="35">
        <f t="shared" si="5"/>
        <v>9668650945.1380997</v>
      </c>
      <c r="N33" s="35">
        <f t="shared" si="6"/>
        <v>141567075454.86191</v>
      </c>
      <c r="O33" s="41">
        <f t="shared" si="1"/>
        <v>8.5215994014334939E-2</v>
      </c>
    </row>
    <row r="34" spans="1:15" x14ac:dyDescent="0.25">
      <c r="A34" s="7" t="s">
        <v>25</v>
      </c>
      <c r="B34" s="1" t="s">
        <v>26</v>
      </c>
      <c r="C34" s="47">
        <v>46.695</v>
      </c>
      <c r="D34" s="47">
        <f>126.933*I34</f>
        <v>32.236875673059146</v>
      </c>
      <c r="E34" s="47">
        <v>0</v>
      </c>
      <c r="F34" s="47">
        <v>80</v>
      </c>
      <c r="G34" s="8">
        <f t="shared" si="0"/>
        <v>13448160000</v>
      </c>
      <c r="H34" s="51"/>
      <c r="I34" s="50">
        <f>C34/(C34+C35)</f>
        <v>0.25396764965028118</v>
      </c>
      <c r="J34" s="40">
        <f t="shared" si="2"/>
        <v>32236875.673059147</v>
      </c>
      <c r="K34" s="35">
        <f t="shared" si="3"/>
        <v>0</v>
      </c>
      <c r="L34" s="35">
        <f t="shared" si="4"/>
        <v>13448160000</v>
      </c>
      <c r="M34" s="35">
        <f t="shared" si="5"/>
        <v>0</v>
      </c>
      <c r="N34" s="35">
        <f t="shared" si="6"/>
        <v>13448160000</v>
      </c>
      <c r="O34" s="41">
        <f t="shared" si="1"/>
        <v>4.1709132213373166E-3</v>
      </c>
    </row>
    <row r="35" spans="1:15" x14ac:dyDescent="0.25">
      <c r="A35" s="7" t="s">
        <v>25</v>
      </c>
      <c r="B35" s="1" t="s">
        <v>8</v>
      </c>
      <c r="C35" s="47">
        <v>137.167</v>
      </c>
      <c r="D35" s="47">
        <f>126.933*I35</f>
        <v>94.696124326940861</v>
      </c>
      <c r="E35" s="47">
        <v>0</v>
      </c>
      <c r="F35" s="47">
        <v>100</v>
      </c>
      <c r="G35" s="8">
        <f t="shared" si="0"/>
        <v>49380120000</v>
      </c>
      <c r="H35" s="51"/>
      <c r="I35" s="50">
        <f>1-I34</f>
        <v>0.74603235034971882</v>
      </c>
      <c r="J35" s="40">
        <f t="shared" si="2"/>
        <v>94696124.326940864</v>
      </c>
      <c r="K35" s="35">
        <f t="shared" si="3"/>
        <v>0</v>
      </c>
      <c r="L35" s="35">
        <f t="shared" si="4"/>
        <v>49380120000</v>
      </c>
      <c r="M35" s="35">
        <f t="shared" si="5"/>
        <v>0</v>
      </c>
      <c r="N35" s="35">
        <f t="shared" si="6"/>
        <v>49380120000</v>
      </c>
      <c r="O35" s="41">
        <f t="shared" si="1"/>
        <v>1.2252096666263534E-2</v>
      </c>
    </row>
    <row r="36" spans="1:15" x14ac:dyDescent="0.25">
      <c r="A36" s="7" t="s">
        <v>27</v>
      </c>
      <c r="B36" s="1" t="s">
        <v>14</v>
      </c>
      <c r="C36" s="47">
        <v>234.13900000000001</v>
      </c>
      <c r="D36" s="47">
        <f>831.246</f>
        <v>831.24599999999998</v>
      </c>
      <c r="E36" s="47">
        <v>0</v>
      </c>
      <c r="F36" s="47">
        <v>0</v>
      </c>
      <c r="G36" s="8">
        <f t="shared" si="0"/>
        <v>0</v>
      </c>
      <c r="H36" s="51"/>
      <c r="J36" s="40">
        <f t="shared" si="2"/>
        <v>831246000</v>
      </c>
      <c r="K36" s="35">
        <f t="shared" si="3"/>
        <v>0</v>
      </c>
      <c r="L36" s="35">
        <f t="shared" si="4"/>
        <v>0</v>
      </c>
      <c r="M36" s="35">
        <f t="shared" si="5"/>
        <v>0</v>
      </c>
      <c r="N36" s="35">
        <f t="shared" si="6"/>
        <v>0</v>
      </c>
      <c r="O36" s="41">
        <f t="shared" si="1"/>
        <v>0.10754934711248183</v>
      </c>
    </row>
    <row r="37" spans="1:15" x14ac:dyDescent="0.25">
      <c r="A37" s="7" t="s">
        <v>27</v>
      </c>
      <c r="B37" s="1" t="s">
        <v>16</v>
      </c>
      <c r="C37" s="47">
        <f>584.202+313.097</f>
        <v>897.29899999999998</v>
      </c>
      <c r="D37" s="47">
        <v>313.09699999999998</v>
      </c>
      <c r="E37" s="47">
        <v>0</v>
      </c>
      <c r="F37" s="47">
        <v>0</v>
      </c>
      <c r="G37" s="8">
        <f t="shared" si="0"/>
        <v>0</v>
      </c>
      <c r="H37" s="51"/>
      <c r="J37" s="40">
        <f t="shared" si="2"/>
        <v>313097000</v>
      </c>
      <c r="K37" s="35">
        <f t="shared" si="3"/>
        <v>0</v>
      </c>
      <c r="L37" s="35">
        <f t="shared" si="4"/>
        <v>0</v>
      </c>
      <c r="M37" s="35">
        <f t="shared" si="5"/>
        <v>0</v>
      </c>
      <c r="N37" s="35">
        <f t="shared" si="6"/>
        <v>0</v>
      </c>
      <c r="O37" s="41">
        <f t="shared" si="1"/>
        <v>4.050952176958051E-2</v>
      </c>
    </row>
    <row r="38" spans="1:15" x14ac:dyDescent="0.25">
      <c r="A38" s="7" t="s">
        <v>17</v>
      </c>
      <c r="B38" s="1" t="s">
        <v>18</v>
      </c>
      <c r="C38" s="47">
        <v>46.843000000000004</v>
      </c>
      <c r="D38" s="47">
        <v>2.173</v>
      </c>
      <c r="E38" s="47">
        <v>0</v>
      </c>
      <c r="F38" s="47">
        <v>0</v>
      </c>
      <c r="G38" s="8">
        <f t="shared" si="0"/>
        <v>0</v>
      </c>
      <c r="H38" s="51"/>
      <c r="J38" s="40">
        <f t="shared" si="2"/>
        <v>2173000</v>
      </c>
      <c r="K38" s="35">
        <f t="shared" si="3"/>
        <v>0</v>
      </c>
      <c r="L38" s="35">
        <f t="shared" si="4"/>
        <v>0</v>
      </c>
      <c r="M38" s="35">
        <f t="shared" si="5"/>
        <v>0</v>
      </c>
      <c r="N38" s="35">
        <f t="shared" si="6"/>
        <v>0</v>
      </c>
      <c r="O38" s="41">
        <f t="shared" si="1"/>
        <v>2.8114990180454766E-4</v>
      </c>
    </row>
    <row r="39" spans="1:15" x14ac:dyDescent="0.25">
      <c r="A39" s="7" t="s">
        <v>17</v>
      </c>
      <c r="B39" s="1" t="s">
        <v>28</v>
      </c>
      <c r="C39" s="47">
        <v>1.427</v>
      </c>
      <c r="D39" s="47">
        <v>1.3</v>
      </c>
      <c r="E39" s="47">
        <v>0</v>
      </c>
      <c r="F39" s="47">
        <v>55</v>
      </c>
      <c r="G39" s="8">
        <f t="shared" si="0"/>
        <v>282546000</v>
      </c>
      <c r="H39" s="51"/>
      <c r="J39" s="40">
        <f t="shared" si="2"/>
        <v>1300000</v>
      </c>
      <c r="K39" s="35">
        <f t="shared" si="3"/>
        <v>0</v>
      </c>
      <c r="L39" s="35">
        <f t="shared" si="4"/>
        <v>282546000</v>
      </c>
      <c r="M39" s="35">
        <f t="shared" si="5"/>
        <v>0</v>
      </c>
      <c r="N39" s="35">
        <f>G39-M39</f>
        <v>282546000</v>
      </c>
      <c r="O39" s="41">
        <f t="shared" si="1"/>
        <v>1.6819828455863411E-4</v>
      </c>
    </row>
    <row r="40" spans="1:15" x14ac:dyDescent="0.25">
      <c r="A40" s="7" t="s">
        <v>12</v>
      </c>
      <c r="B40" s="1" t="s">
        <v>29</v>
      </c>
      <c r="C40" s="47">
        <v>643.16399999999999</v>
      </c>
      <c r="D40" s="47">
        <v>498.88799999999998</v>
      </c>
      <c r="E40" s="47">
        <f>118.115</f>
        <v>118.11499999999999</v>
      </c>
      <c r="F40" s="47">
        <v>30</v>
      </c>
      <c r="G40" s="8">
        <f t="shared" si="0"/>
        <v>69461712000</v>
      </c>
      <c r="H40" s="51"/>
      <c r="J40" s="40">
        <f t="shared" si="2"/>
        <v>498888000</v>
      </c>
      <c r="K40" s="35">
        <f t="shared" si="3"/>
        <v>118115000</v>
      </c>
      <c r="L40" s="35">
        <f t="shared" si="4"/>
        <v>69461712000</v>
      </c>
      <c r="M40" s="35">
        <f t="shared" si="5"/>
        <v>8268050000</v>
      </c>
      <c r="N40" s="35">
        <f t="shared" si="6"/>
        <v>61193662000</v>
      </c>
      <c r="O40" s="41">
        <f t="shared" si="1"/>
        <v>6.4547773682221435E-2</v>
      </c>
    </row>
    <row r="41" spans="1:15" x14ac:dyDescent="0.25">
      <c r="A41" s="7" t="s">
        <v>12</v>
      </c>
      <c r="B41" s="1" t="s">
        <v>30</v>
      </c>
      <c r="C41" s="47">
        <v>603.82500000000005</v>
      </c>
      <c r="D41" s="47">
        <v>455.20800000000003</v>
      </c>
      <c r="E41" s="47">
        <v>56.42</v>
      </c>
      <c r="F41" s="47">
        <v>65</v>
      </c>
      <c r="G41" s="8">
        <f t="shared" si="0"/>
        <v>141295050000.00003</v>
      </c>
      <c r="H41" s="51"/>
      <c r="J41" s="40">
        <f t="shared" si="2"/>
        <v>455208000</v>
      </c>
      <c r="K41" s="35">
        <f t="shared" si="3"/>
        <v>56420000</v>
      </c>
      <c r="L41" s="35">
        <f t="shared" si="4"/>
        <v>141295050000.00003</v>
      </c>
      <c r="M41" s="35">
        <f t="shared" si="5"/>
        <v>3949400000</v>
      </c>
      <c r="N41" s="35">
        <f t="shared" si="6"/>
        <v>137345650000.00003</v>
      </c>
      <c r="O41" s="41">
        <f t="shared" si="1"/>
        <v>5.8896311321051324E-2</v>
      </c>
    </row>
    <row r="42" spans="1:15" x14ac:dyDescent="0.25">
      <c r="A42" s="7" t="s">
        <v>12</v>
      </c>
      <c r="B42" s="1" t="s">
        <v>5</v>
      </c>
      <c r="C42" s="47">
        <v>599.81899999999996</v>
      </c>
      <c r="D42" s="47">
        <v>432.82</v>
      </c>
      <c r="E42" s="47">
        <v>113.316</v>
      </c>
      <c r="F42" s="47">
        <v>44</v>
      </c>
      <c r="G42" s="8">
        <f t="shared" si="0"/>
        <v>95011329600</v>
      </c>
      <c r="H42" s="51"/>
      <c r="J42" s="40">
        <f t="shared" si="2"/>
        <v>432820000</v>
      </c>
      <c r="K42" s="35">
        <f t="shared" si="3"/>
        <v>113316000</v>
      </c>
      <c r="L42" s="35">
        <f t="shared" si="4"/>
        <v>95011329600</v>
      </c>
      <c r="M42" s="35">
        <f t="shared" si="5"/>
        <v>7932120000</v>
      </c>
      <c r="N42" s="35">
        <f t="shared" si="6"/>
        <v>87079209600</v>
      </c>
      <c r="O42" s="41">
        <f t="shared" si="1"/>
        <v>5.5999678094360017E-2</v>
      </c>
    </row>
    <row r="43" spans="1:15" x14ac:dyDescent="0.25">
      <c r="A43" s="7" t="s">
        <v>17</v>
      </c>
      <c r="B43" s="1" t="s">
        <v>14</v>
      </c>
      <c r="C43" s="47">
        <v>74.403000000000006</v>
      </c>
      <c r="D43" s="47">
        <f>117.963+27.035</f>
        <v>144.99799999999999</v>
      </c>
      <c r="E43" s="47">
        <v>0</v>
      </c>
      <c r="F43" s="47">
        <v>0</v>
      </c>
      <c r="G43" s="8">
        <f t="shared" si="0"/>
        <v>0</v>
      </c>
      <c r="H43" s="51"/>
      <c r="J43" s="40">
        <f t="shared" si="2"/>
        <v>144998000</v>
      </c>
      <c r="K43" s="35">
        <f t="shared" si="3"/>
        <v>0</v>
      </c>
      <c r="L43" s="35">
        <f t="shared" si="4"/>
        <v>0</v>
      </c>
      <c r="M43" s="35">
        <f t="shared" si="5"/>
        <v>0</v>
      </c>
      <c r="N43" s="35">
        <f t="shared" si="6"/>
        <v>0</v>
      </c>
      <c r="O43" s="41">
        <f t="shared" si="1"/>
        <v>1.8760319126486791E-2</v>
      </c>
    </row>
    <row r="44" spans="1:15" x14ac:dyDescent="0.25">
      <c r="A44" s="7" t="s">
        <v>17</v>
      </c>
      <c r="B44" s="1" t="s">
        <v>16</v>
      </c>
      <c r="C44" s="47">
        <f>54.618+215.696</f>
        <v>270.31400000000002</v>
      </c>
      <c r="D44" s="47">
        <v>215.696</v>
      </c>
      <c r="E44" s="47">
        <v>0</v>
      </c>
      <c r="F44" s="47">
        <v>0</v>
      </c>
      <c r="G44" s="8">
        <f t="shared" si="0"/>
        <v>0</v>
      </c>
      <c r="H44" s="51"/>
      <c r="J44" s="40">
        <f t="shared" si="2"/>
        <v>215696000</v>
      </c>
      <c r="K44" s="35">
        <f t="shared" si="3"/>
        <v>0</v>
      </c>
      <c r="L44" s="35">
        <f t="shared" si="4"/>
        <v>0</v>
      </c>
      <c r="M44" s="35">
        <f t="shared" si="5"/>
        <v>0</v>
      </c>
      <c r="N44" s="35">
        <f t="shared" si="6"/>
        <v>0</v>
      </c>
      <c r="O44" s="41">
        <f t="shared" si="1"/>
        <v>2.7907459373968574E-2</v>
      </c>
    </row>
    <row r="45" spans="1:15" x14ac:dyDescent="0.25">
      <c r="A45" s="7" t="s">
        <v>12</v>
      </c>
      <c r="B45" s="1" t="s">
        <v>7</v>
      </c>
      <c r="C45" s="47">
        <v>43.951000000000001</v>
      </c>
      <c r="D45" s="47">
        <v>0.32900000000000001</v>
      </c>
      <c r="E45" s="47">
        <v>0</v>
      </c>
      <c r="F45" s="47">
        <v>100</v>
      </c>
      <c r="G45" s="8">
        <f t="shared" si="0"/>
        <v>15822360000.000002</v>
      </c>
      <c r="H45" s="51"/>
      <c r="J45" s="40">
        <f t="shared" si="2"/>
        <v>329000</v>
      </c>
      <c r="K45" s="35">
        <f t="shared" si="3"/>
        <v>0</v>
      </c>
      <c r="L45" s="35">
        <f t="shared" si="4"/>
        <v>15822360000.000002</v>
      </c>
      <c r="M45" s="35">
        <f t="shared" si="5"/>
        <v>0</v>
      </c>
      <c r="N45" s="35">
        <f t="shared" si="6"/>
        <v>15822360000.000002</v>
      </c>
      <c r="O45" s="41">
        <f t="shared" si="1"/>
        <v>4.2567104322915867E-5</v>
      </c>
    </row>
    <row r="46" spans="1:15" ht="15.75" thickBot="1" x14ac:dyDescent="0.3">
      <c r="A46" s="7" t="s">
        <v>17</v>
      </c>
      <c r="B46" s="1" t="s">
        <v>8</v>
      </c>
      <c r="C46" s="47">
        <v>63.515999999999998</v>
      </c>
      <c r="D46" s="47">
        <v>60.072000000000003</v>
      </c>
      <c r="E46" s="47">
        <v>0</v>
      </c>
      <c r="F46" s="47">
        <v>50</v>
      </c>
      <c r="G46" s="8">
        <f t="shared" si="0"/>
        <v>11432880000</v>
      </c>
      <c r="H46" s="51"/>
      <c r="J46" s="40">
        <f t="shared" si="2"/>
        <v>60072000</v>
      </c>
      <c r="K46" s="35">
        <f t="shared" si="3"/>
        <v>0</v>
      </c>
      <c r="L46" s="35">
        <f t="shared" si="4"/>
        <v>11432880000</v>
      </c>
      <c r="M46" s="35">
        <f t="shared" si="5"/>
        <v>0</v>
      </c>
      <c r="N46" s="35">
        <f t="shared" si="6"/>
        <v>11432880000</v>
      </c>
      <c r="O46" s="41">
        <f t="shared" si="1"/>
        <v>7.772313346158668E-3</v>
      </c>
    </row>
    <row r="47" spans="1:15" ht="15.75" thickBot="1" x14ac:dyDescent="0.3">
      <c r="A47" s="2"/>
      <c r="B47" s="3"/>
      <c r="C47" s="4"/>
      <c r="D47" s="4">
        <f>SUM(D19:D46)</f>
        <v>7728.9729999999981</v>
      </c>
      <c r="E47" s="4">
        <f>SUM(E19:E46)</f>
        <v>1683.0379999999998</v>
      </c>
      <c r="F47" s="5" t="s">
        <v>33</v>
      </c>
      <c r="G47" s="4">
        <f>SUM(G19:G46)</f>
        <v>1029038351400</v>
      </c>
      <c r="H47" s="52"/>
      <c r="J47" s="42">
        <f t="shared" ref="J47:O47" si="19">SUM(J19:J46)</f>
        <v>7728973000</v>
      </c>
      <c r="K47" s="4">
        <f t="shared" si="19"/>
        <v>1683038000</v>
      </c>
      <c r="L47" s="4">
        <f t="shared" si="19"/>
        <v>1029038351400</v>
      </c>
      <c r="M47" s="4">
        <f t="shared" si="19"/>
        <v>117812660000</v>
      </c>
      <c r="N47" s="4">
        <f t="shared" si="19"/>
        <v>911225691400</v>
      </c>
      <c r="O47" s="36">
        <f t="shared" si="19"/>
        <v>1</v>
      </c>
    </row>
    <row r="48" spans="1:15" x14ac:dyDescent="0.25">
      <c r="M48" s="43" t="s">
        <v>53</v>
      </c>
      <c r="N48" s="37">
        <f>N47/J47</f>
        <v>117.89738318402716</v>
      </c>
      <c r="O48" t="s">
        <v>45</v>
      </c>
    </row>
    <row r="50" spans="1:9" x14ac:dyDescent="0.25">
      <c r="A50" t="s">
        <v>48</v>
      </c>
    </row>
    <row r="51" spans="1:9" x14ac:dyDescent="0.25">
      <c r="A51" s="1" t="s">
        <v>12</v>
      </c>
      <c r="B51" s="1" t="s">
        <v>22</v>
      </c>
      <c r="C51" s="47">
        <v>181.58799999999999</v>
      </c>
      <c r="D51" s="47">
        <f>D19+D21+D20+D22+D23+D29+D30+D31</f>
        <v>2037.434</v>
      </c>
      <c r="E51" s="47">
        <f>E19+E21+E20+E22+E23+E29+E30+E31</f>
        <v>1098.9099999999999</v>
      </c>
      <c r="F51" s="47">
        <v>0</v>
      </c>
      <c r="G51" s="47">
        <f>F51*C51*3.6*1000*1000</f>
        <v>0</v>
      </c>
      <c r="H51" s="55"/>
      <c r="I51" s="50" t="s">
        <v>93</v>
      </c>
    </row>
    <row r="52" spans="1:9" x14ac:dyDescent="0.25">
      <c r="A52" s="1" t="s">
        <v>12</v>
      </c>
      <c r="B52" s="1" t="s">
        <v>22</v>
      </c>
      <c r="C52" s="47">
        <v>84.078999999999994</v>
      </c>
      <c r="D52" s="47">
        <f>D32+D33</f>
        <v>1412.7750000000001</v>
      </c>
      <c r="E52" s="47">
        <f>E32+E33</f>
        <v>296.27699999999999</v>
      </c>
      <c r="F52" s="47">
        <v>0</v>
      </c>
      <c r="G52" s="47">
        <f>F52*C52*3.6*1000*1000</f>
        <v>0</v>
      </c>
      <c r="H52" s="55"/>
      <c r="I52" s="50" t="s">
        <v>92</v>
      </c>
    </row>
    <row r="53" spans="1:9" x14ac:dyDescent="0.25">
      <c r="A53" s="1" t="s">
        <v>12</v>
      </c>
      <c r="B53" s="1" t="s">
        <v>22</v>
      </c>
      <c r="C53" s="47">
        <v>96.341999999999999</v>
      </c>
      <c r="D53" s="47">
        <f>D40+D41+D42</f>
        <v>1386.9159999999999</v>
      </c>
      <c r="E53" s="47">
        <f>E40+E41+E42</f>
        <v>287.851</v>
      </c>
      <c r="F53" s="47">
        <v>0</v>
      </c>
      <c r="G53" s="47">
        <f>F53*C53*3.6*1000*1000</f>
        <v>0</v>
      </c>
      <c r="H53" s="55"/>
      <c r="I53" s="50" t="s">
        <v>94</v>
      </c>
    </row>
    <row r="55" spans="1:9" hidden="1" x14ac:dyDescent="0.25">
      <c r="A55" t="s">
        <v>59</v>
      </c>
      <c r="B55" t="s">
        <v>92</v>
      </c>
    </row>
    <row r="56" spans="1:9" hidden="1" x14ac:dyDescent="0.25">
      <c r="A56" s="48" t="s">
        <v>60</v>
      </c>
      <c r="B56" s="48" t="s">
        <v>77</v>
      </c>
    </row>
    <row r="57" spans="1:9" hidden="1" x14ac:dyDescent="0.25">
      <c r="A57" s="49" t="s">
        <v>60</v>
      </c>
      <c r="B57" s="49" t="s">
        <v>78</v>
      </c>
    </row>
    <row r="58" spans="1:9" hidden="1" x14ac:dyDescent="0.25">
      <c r="A58" s="48" t="s">
        <v>61</v>
      </c>
      <c r="B58" s="48" t="s">
        <v>79</v>
      </c>
    </row>
    <row r="59" spans="1:9" hidden="1" x14ac:dyDescent="0.25">
      <c r="A59" s="49" t="s">
        <v>61</v>
      </c>
      <c r="B59" s="49" t="s">
        <v>79</v>
      </c>
    </row>
    <row r="60" spans="1:9" hidden="1" x14ac:dyDescent="0.25">
      <c r="A60" s="48" t="s">
        <v>61</v>
      </c>
      <c r="B60" s="48" t="s">
        <v>79</v>
      </c>
    </row>
    <row r="61" spans="1:9" hidden="1" x14ac:dyDescent="0.25">
      <c r="A61" s="49" t="s">
        <v>62</v>
      </c>
      <c r="B61" s="49" t="s">
        <v>79</v>
      </c>
    </row>
    <row r="62" spans="1:9" hidden="1" x14ac:dyDescent="0.25">
      <c r="A62" s="48" t="s">
        <v>62</v>
      </c>
      <c r="B62" s="48" t="s">
        <v>79</v>
      </c>
    </row>
    <row r="63" spans="1:9" hidden="1" x14ac:dyDescent="0.25">
      <c r="A63" s="49" t="s">
        <v>62</v>
      </c>
      <c r="B63" s="49" t="s">
        <v>79</v>
      </c>
    </row>
    <row r="64" spans="1:9" hidden="1" x14ac:dyDescent="0.25">
      <c r="A64" s="48" t="s">
        <v>63</v>
      </c>
      <c r="B64" s="48" t="s">
        <v>79</v>
      </c>
    </row>
    <row r="65" spans="1:2" hidden="1" x14ac:dyDescent="0.25">
      <c r="A65" s="49" t="s">
        <v>64</v>
      </c>
      <c r="B65" s="49" t="s">
        <v>79</v>
      </c>
    </row>
    <row r="66" spans="1:2" hidden="1" x14ac:dyDescent="0.25">
      <c r="A66" s="48" t="s">
        <v>64</v>
      </c>
      <c r="B66" s="48" t="s">
        <v>80</v>
      </c>
    </row>
    <row r="67" spans="1:2" hidden="1" x14ac:dyDescent="0.25">
      <c r="A67" s="49" t="s">
        <v>64</v>
      </c>
      <c r="B67" s="49" t="s">
        <v>80</v>
      </c>
    </row>
    <row r="68" spans="1:2" hidden="1" x14ac:dyDescent="0.25">
      <c r="A68" s="48" t="s">
        <v>64</v>
      </c>
      <c r="B68" s="48" t="s">
        <v>80</v>
      </c>
    </row>
    <row r="69" spans="1:2" hidden="1" x14ac:dyDescent="0.25">
      <c r="A69" s="49" t="s">
        <v>65</v>
      </c>
      <c r="B69" s="49" t="s">
        <v>80</v>
      </c>
    </row>
    <row r="70" spans="1:2" hidden="1" x14ac:dyDescent="0.25">
      <c r="A70" s="48" t="s">
        <v>66</v>
      </c>
      <c r="B70" s="48" t="s">
        <v>80</v>
      </c>
    </row>
    <row r="71" spans="1:2" hidden="1" x14ac:dyDescent="0.25">
      <c r="A71" s="49" t="s">
        <v>66</v>
      </c>
      <c r="B71" s="49" t="s">
        <v>80</v>
      </c>
    </row>
    <row r="72" spans="1:2" hidden="1" x14ac:dyDescent="0.25">
      <c r="A72" s="48" t="s">
        <v>67</v>
      </c>
      <c r="B72" s="48" t="s">
        <v>80</v>
      </c>
    </row>
    <row r="73" spans="1:2" hidden="1" x14ac:dyDescent="0.25">
      <c r="A73" s="49" t="s">
        <v>68</v>
      </c>
      <c r="B73" s="49" t="s">
        <v>81</v>
      </c>
    </row>
    <row r="74" spans="1:2" hidden="1" x14ac:dyDescent="0.25">
      <c r="A74" s="48" t="s">
        <v>68</v>
      </c>
      <c r="B74" s="48" t="s">
        <v>82</v>
      </c>
    </row>
    <row r="75" spans="1:2" hidden="1" x14ac:dyDescent="0.25">
      <c r="A75" s="49" t="s">
        <v>68</v>
      </c>
      <c r="B75" s="49" t="s">
        <v>83</v>
      </c>
    </row>
    <row r="76" spans="1:2" hidden="1" x14ac:dyDescent="0.25">
      <c r="A76" s="48" t="s">
        <v>69</v>
      </c>
      <c r="B76" s="48" t="s">
        <v>83</v>
      </c>
    </row>
    <row r="77" spans="1:2" hidden="1" x14ac:dyDescent="0.25">
      <c r="A77" s="49" t="s">
        <v>69</v>
      </c>
      <c r="B77" s="49" t="s">
        <v>84</v>
      </c>
    </row>
    <row r="78" spans="1:2" hidden="1" x14ac:dyDescent="0.25">
      <c r="A78" s="48" t="s">
        <v>70</v>
      </c>
      <c r="B78" s="48" t="s">
        <v>85</v>
      </c>
    </row>
    <row r="79" spans="1:2" hidden="1" x14ac:dyDescent="0.25">
      <c r="A79" s="49" t="s">
        <v>71</v>
      </c>
      <c r="B79" s="49" t="s">
        <v>85</v>
      </c>
    </row>
    <row r="80" spans="1:2" hidden="1" x14ac:dyDescent="0.25">
      <c r="A80" s="48" t="s">
        <v>71</v>
      </c>
      <c r="B80" s="48" t="s">
        <v>78</v>
      </c>
    </row>
    <row r="81" spans="1:2" hidden="1" x14ac:dyDescent="0.25">
      <c r="A81" s="49" t="s">
        <v>72</v>
      </c>
      <c r="B81" s="49" t="s">
        <v>79</v>
      </c>
    </row>
    <row r="82" spans="1:2" hidden="1" x14ac:dyDescent="0.25">
      <c r="A82" s="48" t="s">
        <v>73</v>
      </c>
      <c r="B82" s="48" t="s">
        <v>80</v>
      </c>
    </row>
    <row r="83" spans="1:2" hidden="1" x14ac:dyDescent="0.25">
      <c r="A83" s="49" t="s">
        <v>60</v>
      </c>
      <c r="B83" s="49" t="s">
        <v>80</v>
      </c>
    </row>
    <row r="84" spans="1:2" hidden="1" x14ac:dyDescent="0.25">
      <c r="A84" s="48" t="s">
        <v>61</v>
      </c>
      <c r="B84" s="48" t="s">
        <v>81</v>
      </c>
    </row>
    <row r="85" spans="1:2" hidden="1" x14ac:dyDescent="0.25">
      <c r="A85" s="49" t="s">
        <v>63</v>
      </c>
      <c r="B85" s="49" t="s">
        <v>86</v>
      </c>
    </row>
    <row r="86" spans="1:2" hidden="1" x14ac:dyDescent="0.25">
      <c r="A86" s="48" t="s">
        <v>63</v>
      </c>
      <c r="B86" s="48" t="s">
        <v>87</v>
      </c>
    </row>
    <row r="87" spans="1:2" hidden="1" x14ac:dyDescent="0.25">
      <c r="A87" s="49" t="s">
        <v>64</v>
      </c>
      <c r="B87" s="49" t="s">
        <v>88</v>
      </c>
    </row>
    <row r="88" spans="1:2" hidden="1" x14ac:dyDescent="0.25">
      <c r="A88" s="48" t="s">
        <v>65</v>
      </c>
      <c r="B88" s="48" t="s">
        <v>82</v>
      </c>
    </row>
    <row r="89" spans="1:2" hidden="1" x14ac:dyDescent="0.25">
      <c r="A89" s="49" t="s">
        <v>67</v>
      </c>
      <c r="B89" s="49" t="s">
        <v>89</v>
      </c>
    </row>
    <row r="90" spans="1:2" hidden="1" x14ac:dyDescent="0.25">
      <c r="A90" s="48" t="s">
        <v>74</v>
      </c>
      <c r="B90" s="48" t="s">
        <v>83</v>
      </c>
    </row>
    <row r="91" spans="1:2" hidden="1" x14ac:dyDescent="0.25">
      <c r="A91" s="49" t="s">
        <v>75</v>
      </c>
      <c r="B91" s="49" t="s">
        <v>84</v>
      </c>
    </row>
    <row r="92" spans="1:2" hidden="1" x14ac:dyDescent="0.25">
      <c r="A92" s="48" t="s">
        <v>76</v>
      </c>
      <c r="B92" s="48" t="s">
        <v>85</v>
      </c>
    </row>
    <row r="93" spans="1:2" hidden="1" x14ac:dyDescent="0.25">
      <c r="A93" s="49" t="s">
        <v>63</v>
      </c>
      <c r="B93" s="49" t="s">
        <v>90</v>
      </c>
    </row>
    <row r="94" spans="1:2" hidden="1" x14ac:dyDescent="0.25">
      <c r="A94" s="48" t="s">
        <v>64</v>
      </c>
      <c r="B94" s="48" t="s">
        <v>80</v>
      </c>
    </row>
    <row r="95" spans="1:2" hidden="1" x14ac:dyDescent="0.25">
      <c r="A95" s="49" t="s">
        <v>64</v>
      </c>
      <c r="B95" s="49" t="s">
        <v>80</v>
      </c>
    </row>
    <row r="96" spans="1:2" hidden="1" x14ac:dyDescent="0.25">
      <c r="A96" s="48" t="s">
        <v>64</v>
      </c>
      <c r="B96" s="48" t="s">
        <v>80</v>
      </c>
    </row>
    <row r="97" spans="1:2" hidden="1" x14ac:dyDescent="0.25">
      <c r="A97" s="49" t="s">
        <v>64</v>
      </c>
      <c r="B97" s="49" t="s">
        <v>80</v>
      </c>
    </row>
    <row r="98" spans="1:2" hidden="1" x14ac:dyDescent="0.25">
      <c r="A98" s="48" t="s">
        <v>65</v>
      </c>
      <c r="B98" s="48" t="s">
        <v>80</v>
      </c>
    </row>
    <row r="99" spans="1:2" hidden="1" x14ac:dyDescent="0.25">
      <c r="A99" s="49" t="s">
        <v>65</v>
      </c>
      <c r="B99" s="49" t="s">
        <v>80</v>
      </c>
    </row>
    <row r="100" spans="1:2" hidden="1" x14ac:dyDescent="0.25">
      <c r="A100" s="48" t="s">
        <v>65</v>
      </c>
      <c r="B100" s="48" t="s">
        <v>80</v>
      </c>
    </row>
    <row r="101" spans="1:2" hidden="1" x14ac:dyDescent="0.25">
      <c r="A101" s="49" t="s">
        <v>65</v>
      </c>
      <c r="B101" s="49" t="s">
        <v>91</v>
      </c>
    </row>
    <row r="102" spans="1:2" hidden="1" x14ac:dyDescent="0.25">
      <c r="A102" s="48" t="s">
        <v>72</v>
      </c>
      <c r="B102" s="48" t="s">
        <v>80</v>
      </c>
    </row>
    <row r="103" spans="1:2" hidden="1" x14ac:dyDescent="0.25">
      <c r="A103" s="49" t="s">
        <v>73</v>
      </c>
      <c r="B103" s="49" t="s">
        <v>80</v>
      </c>
    </row>
    <row r="104" spans="1:2" hidden="1" x14ac:dyDescent="0.25">
      <c r="A104" s="48" t="s">
        <v>63</v>
      </c>
      <c r="B104" s="48" t="s">
        <v>80</v>
      </c>
    </row>
    <row r="105" spans="1:2" hidden="1" x14ac:dyDescent="0.25">
      <c r="A105" s="49" t="s">
        <v>63</v>
      </c>
      <c r="B105" s="49" t="s">
        <v>80</v>
      </c>
    </row>
    <row r="106" spans="1:2" hidden="1" x14ac:dyDescent="0.25">
      <c r="A106" s="48" t="s">
        <v>64</v>
      </c>
      <c r="B106" s="48" t="s">
        <v>80</v>
      </c>
    </row>
    <row r="107" spans="1:2" hidden="1" x14ac:dyDescent="0.25">
      <c r="A107" s="49" t="s">
        <v>64</v>
      </c>
      <c r="B107" s="49" t="s">
        <v>80</v>
      </c>
    </row>
    <row r="108" spans="1:2" hidden="1" x14ac:dyDescent="0.25">
      <c r="A108" s="48" t="s">
        <v>64</v>
      </c>
      <c r="B108" s="48" t="s">
        <v>80</v>
      </c>
    </row>
    <row r="109" spans="1:2" hidden="1" x14ac:dyDescent="0.25">
      <c r="A109" s="49" t="s">
        <v>64</v>
      </c>
    </row>
    <row r="110" spans="1:2" hidden="1" x14ac:dyDescent="0.25">
      <c r="A110" s="48" t="s">
        <v>65</v>
      </c>
    </row>
    <row r="111" spans="1:2" hidden="1" x14ac:dyDescent="0.25">
      <c r="A111" s="49" t="s">
        <v>65</v>
      </c>
    </row>
    <row r="112" spans="1:2" hidden="1" x14ac:dyDescent="0.25">
      <c r="A112" s="48" t="s">
        <v>65</v>
      </c>
    </row>
    <row r="113" spans="1:1" hidden="1" x14ac:dyDescent="0.25">
      <c r="A113" s="49" t="s">
        <v>65</v>
      </c>
    </row>
  </sheetData>
  <mergeCells count="1">
    <mergeCell ref="A5:E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NOx Breem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</dc:creator>
  <cp:lastModifiedBy>Göran Erselius</cp:lastModifiedBy>
  <cp:lastPrinted>2014-11-26T12:04:03Z</cp:lastPrinted>
  <dcterms:created xsi:type="dcterms:W3CDTF">2014-10-30T16:29:32Z</dcterms:created>
  <dcterms:modified xsi:type="dcterms:W3CDTF">2018-05-09T20:14:22Z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_AdHocReviewCycleID">
    <vt:i4>1781998464</vt:i4>
  </property>
  <property fmtid="{D5CDD505-2E9C-101B-9397-08002B2CF9AE}" pid="5" name="_EmailSubject">
    <vt:lpwstr>Underlag för Breeam NOx Pol 4 2017</vt:lpwstr>
  </property>
  <property fmtid="{D5CDD505-2E9C-101B-9397-08002B2CF9AE}" pid="6" name="_AuthorEmail">
    <vt:lpwstr>anna.andersson@stockholmexergi.se</vt:lpwstr>
  </property>
  <property fmtid="{D5CDD505-2E9C-101B-9397-08002B2CF9AE}" pid="7" name="_AuthorEmailDisplayName">
    <vt:lpwstr>Andersson Anna</vt:lpwstr>
  </property>
</Properties>
</file>